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 tabRatio="599" activeTab="2"/>
  </bookViews>
  <sheets>
    <sheet name="ИБР" sheetId="3" r:id="rId1"/>
    <sheet name="ИНП" sheetId="1" r:id="rId2"/>
    <sheet name="Дот" sheetId="2" r:id="rId3"/>
  </sheets>
  <externalReferences>
    <externalReference r:id="rId4"/>
    <externalReference r:id="rId5"/>
  </externalReferences>
  <definedNames>
    <definedName name="_lst2">[1]rr!$D$5:$E$46</definedName>
    <definedName name="vb">[1]rr!$D$3</definedName>
    <definedName name="_xlnm.Print_Titles" localSheetId="2">Дот!$A:$B</definedName>
    <definedName name="_xlnm.Print_Titles" localSheetId="0">ИБР!$A:$B</definedName>
    <definedName name="_xlnm.Print_Titles" localSheetId="1">ИНП!$A:$B</definedName>
    <definedName name="_xlnm.Print_Area" localSheetId="0">ИБР!$A$1:$Y$10</definedName>
    <definedName name="_xlnm.Print_Area" localSheetId="1">ИНП!$A$1:$T$10</definedName>
  </definedNames>
  <calcPr calcId="124519"/>
</workbook>
</file>

<file path=xl/calcChain.xml><?xml version="1.0" encoding="utf-8"?>
<calcChain xmlns="http://schemas.openxmlformats.org/spreadsheetml/2006/main">
  <c r="O10" i="1"/>
  <c r="M10" i="2"/>
  <c r="I10"/>
  <c r="N10" i="3"/>
  <c r="N6"/>
  <c r="N7"/>
  <c r="N8"/>
  <c r="N9"/>
  <c r="D10"/>
  <c r="K10" i="2"/>
  <c r="C6"/>
  <c r="C7"/>
  <c r="C8"/>
  <c r="C9"/>
  <c r="D10" i="1"/>
  <c r="C10"/>
  <c r="Q10"/>
  <c r="H10" i="3"/>
  <c r="C10"/>
  <c r="L10" i="1"/>
  <c r="H10"/>
  <c r="M10"/>
  <c r="I10"/>
  <c r="J10" s="1"/>
  <c r="L6" i="3"/>
  <c r="M6"/>
  <c r="Q6" s="1"/>
  <c r="L7"/>
  <c r="S7" s="1"/>
  <c r="M7"/>
  <c r="Q7" s="1"/>
  <c r="L8"/>
  <c r="P8" s="1"/>
  <c r="M8"/>
  <c r="Q8" s="1"/>
  <c r="L9"/>
  <c r="P9" s="1"/>
  <c r="M9"/>
  <c r="C3"/>
  <c r="I6"/>
  <c r="J6"/>
  <c r="I7"/>
  <c r="J7"/>
  <c r="I8"/>
  <c r="J8"/>
  <c r="I9"/>
  <c r="J9"/>
  <c r="E10"/>
  <c r="E10" i="1"/>
  <c r="F10" s="1"/>
  <c r="K9" i="3"/>
  <c r="O9" s="1"/>
  <c r="K10"/>
  <c r="R10" s="1"/>
  <c r="I10"/>
  <c r="K6"/>
  <c r="O6" s="1"/>
  <c r="K8"/>
  <c r="O8" s="1"/>
  <c r="K7"/>
  <c r="O7" s="1"/>
  <c r="R6" l="1"/>
  <c r="L10"/>
  <c r="P10" s="1"/>
  <c r="M10"/>
  <c r="Q10" s="1"/>
  <c r="S9"/>
  <c r="S8"/>
  <c r="P7"/>
  <c r="P6"/>
  <c r="J10"/>
  <c r="N10" i="1"/>
  <c r="O9" s="1"/>
  <c r="Q9" i="3"/>
  <c r="V9" s="1"/>
  <c r="K6" i="1"/>
  <c r="K8"/>
  <c r="K7"/>
  <c r="K4"/>
  <c r="K9"/>
  <c r="G6"/>
  <c r="G7"/>
  <c r="G9"/>
  <c r="G8"/>
  <c r="G4"/>
  <c r="R8" i="3"/>
  <c r="W8" s="1"/>
  <c r="S6"/>
  <c r="O10"/>
  <c r="T10" s="1"/>
  <c r="T9"/>
  <c r="C10" i="2"/>
  <c r="W10" i="3"/>
  <c r="W6"/>
  <c r="R9"/>
  <c r="W9" s="1"/>
  <c r="V8"/>
  <c r="V6"/>
  <c r="V10"/>
  <c r="R7"/>
  <c r="W7" s="1"/>
  <c r="V7"/>
  <c r="S10" l="1"/>
  <c r="O4" i="1"/>
  <c r="O6"/>
  <c r="O8"/>
  <c r="P8" s="1"/>
  <c r="R8" s="1"/>
  <c r="S8" s="1"/>
  <c r="O7"/>
  <c r="P7" s="1"/>
  <c r="R7" s="1"/>
  <c r="S7" s="1"/>
  <c r="P9"/>
  <c r="P6"/>
  <c r="R6" s="1"/>
  <c r="S6" s="1"/>
  <c r="R9"/>
  <c r="S9" s="1"/>
  <c r="K10"/>
  <c r="X9" i="3"/>
  <c r="T6"/>
  <c r="X6"/>
  <c r="T7"/>
  <c r="T8"/>
  <c r="X8"/>
  <c r="U8"/>
  <c r="U7"/>
  <c r="U10"/>
  <c r="U6"/>
  <c r="X7"/>
  <c r="X10"/>
  <c r="U9"/>
  <c r="Y6" l="1"/>
  <c r="E6" i="2" s="1"/>
  <c r="P10" i="1"/>
  <c r="R10" s="1"/>
  <c r="S10" s="1"/>
  <c r="T9" s="1"/>
  <c r="D9" i="2" s="1"/>
  <c r="Y9" i="3"/>
  <c r="E9" i="2" s="1"/>
  <c r="Y7" i="3"/>
  <c r="E7" i="2" s="1"/>
  <c r="Y8" i="3"/>
  <c r="E8" i="2" s="1"/>
  <c r="Y10" i="3"/>
  <c r="E10" i="2" s="1"/>
  <c r="T10" i="1" l="1"/>
  <c r="D10" i="2" s="1"/>
  <c r="F10" s="1"/>
  <c r="F9"/>
  <c r="G9" s="1"/>
  <c r="T6" i="1"/>
  <c r="D6" i="2" s="1"/>
  <c r="F6" s="1"/>
  <c r="G6" s="1"/>
  <c r="T8" i="1"/>
  <c r="D8" i="2" s="1"/>
  <c r="F8" s="1"/>
  <c r="G8" s="1"/>
  <c r="T7" i="1"/>
  <c r="D7" i="2" s="1"/>
  <c r="F7" s="1"/>
  <c r="G7" s="1"/>
  <c r="G10" l="1"/>
  <c r="H7" s="1"/>
  <c r="J7" s="1"/>
  <c r="L7" s="1"/>
  <c r="H8" l="1"/>
  <c r="J8" s="1"/>
  <c r="L8" s="1"/>
  <c r="H9"/>
  <c r="J9" s="1"/>
  <c r="L9" s="1"/>
  <c r="H6"/>
  <c r="J6" s="1"/>
  <c r="L6" s="1"/>
  <c r="H10"/>
  <c r="J10" s="1"/>
  <c r="L10" s="1"/>
</calcChain>
</file>

<file path=xl/comments1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color indexed="81"/>
            <rFont val="Tahoma"/>
            <family val="2"/>
            <charset val="204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color indexed="81"/>
            <rFont val="Tahoma"/>
            <family val="2"/>
            <charset val="204"/>
          </rPr>
          <t>Занесите в ячейку общую сумму распределяемых дотаций</t>
        </r>
      </text>
    </commen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З</t>
        </r>
        <r>
          <rPr>
            <sz val="8"/>
            <color indexed="81"/>
            <rFont val="Tahoma"/>
            <family val="2"/>
            <charset val="204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<sst xmlns="http://schemas.openxmlformats.org/spreadsheetml/2006/main" count="94" uniqueCount="59">
  <si>
    <t>Расчет индекса налогового потенциала</t>
  </si>
  <si>
    <t>№</t>
  </si>
  <si>
    <t>Поселения</t>
  </si>
  <si>
    <t>Числен-ность постоян-ного населения, чел</t>
  </si>
  <si>
    <t>НДФЛ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</si>
  <si>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</si>
  <si>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</si>
  <si>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</si>
  <si>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</si>
  <si>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</si>
  <si>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</si>
  <si>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</si>
  <si>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</si>
  <si>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</si>
  <si>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</si>
  <si>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</si>
  <si>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</si>
  <si>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</si>
  <si>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</si>
  <si>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Расчет индекса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</si>
  <si>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</si>
  <si>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</si>
  <si>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</si>
  <si>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</si>
  <si>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</si>
  <si>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</si>
  <si>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</si>
  <si>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</si>
  <si>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</si>
  <si>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</si>
  <si>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</si>
  <si>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</si>
  <si>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</si>
  <si>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</si>
  <si>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</si>
  <si>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</si>
  <si>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</si>
  <si>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</si>
  <si>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</si>
  <si>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</si>
  <si>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</si>
  <si>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Расчет дотации на выравнивание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</si>
  <si>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</si>
  <si>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</si>
  <si>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</si>
  <si>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</si>
  <si>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</si>
  <si>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</si>
  <si>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</si>
  <si>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</si>
  <si>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Перевесинское МО</t>
  </si>
  <si>
    <t>Рязанское МО</t>
  </si>
  <si>
    <t>Студеновское МО</t>
  </si>
  <si>
    <t>Турковское МО</t>
  </si>
  <si>
    <t>Иные межбюджетные трансферты на сбалансированность бюджетам поселений</t>
  </si>
  <si>
    <t xml:space="preserve"> </t>
  </si>
  <si>
    <t>Прогноз налога на 2020 год в консолиди-рованный бюджет области</t>
  </si>
  <si>
    <t>Прогноз налога на 2020 год, 100%</t>
  </si>
  <si>
    <t>Прогноз налога на 2020 год в доле поселений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</si>
</sst>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0"/>
  </numFmts>
  <fonts count="1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sz val="8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4"/>
    <xf numFmtId="0" fontId="5" fillId="0" borderId="0" xfId="2" applyFont="1" applyAlignment="1">
      <alignment wrapText="1"/>
    </xf>
    <xf numFmtId="0" fontId="3" fillId="0" borderId="1" xfId="3" applyFill="1" applyBorder="1" applyAlignment="1">
      <alignment horizontal="center" vertical="top" wrapText="1"/>
    </xf>
    <xf numFmtId="0" fontId="3" fillId="2" borderId="1" xfId="4" applyFill="1" applyBorder="1"/>
    <xf numFmtId="0" fontId="3" fillId="2" borderId="0" xfId="4" applyFill="1"/>
    <xf numFmtId="0" fontId="4" fillId="0" borderId="1" xfId="0" applyFont="1" applyFill="1" applyBorder="1"/>
    <xf numFmtId="0" fontId="4" fillId="0" borderId="1" xfId="1" applyFont="1" applyFill="1" applyBorder="1"/>
    <xf numFmtId="3" fontId="8" fillId="3" borderId="1" xfId="2" applyNumberFormat="1" applyFont="1" applyFill="1" applyBorder="1"/>
    <xf numFmtId="164" fontId="4" fillId="3" borderId="1" xfId="1" applyNumberFormat="1" applyFont="1" applyFill="1" applyBorder="1"/>
    <xf numFmtId="164" fontId="4" fillId="4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0" fontId="9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7" fillId="0" borderId="2" xfId="4" applyFont="1" applyBorder="1" applyAlignment="1">
      <alignment horizontal="center" vertical="center" wrapText="1"/>
    </xf>
    <xf numFmtId="0" fontId="3" fillId="3" borderId="1" xfId="4" applyFill="1" applyBorder="1"/>
    <xf numFmtId="164" fontId="8" fillId="0" borderId="1" xfId="2" applyNumberFormat="1" applyFont="1" applyFill="1" applyBorder="1"/>
    <xf numFmtId="0" fontId="3" fillId="0" borderId="0" xfId="4" applyAlignment="1">
      <alignment horizontal="right"/>
    </xf>
    <xf numFmtId="0" fontId="4" fillId="0" borderId="0" xfId="2" applyFont="1"/>
    <xf numFmtId="0" fontId="7" fillId="0" borderId="1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3" fillId="5" borderId="1" xfId="4" applyFill="1" applyBorder="1"/>
    <xf numFmtId="10" fontId="3" fillId="3" borderId="1" xfId="5" applyNumberFormat="1" applyFont="1" applyFill="1" applyBorder="1"/>
    <xf numFmtId="4" fontId="8" fillId="3" borderId="1" xfId="2" applyNumberFormat="1" applyFont="1" applyFill="1" applyBorder="1"/>
    <xf numFmtId="3" fontId="8" fillId="5" borderId="1" xfId="2" applyNumberFormat="1" applyFont="1" applyFill="1" applyBorder="1"/>
    <xf numFmtId="166" fontId="8" fillId="5" borderId="1" xfId="2" applyNumberFormat="1" applyFont="1" applyFill="1" applyBorder="1"/>
    <xf numFmtId="165" fontId="8" fillId="0" borderId="1" xfId="2" applyNumberFormat="1" applyFont="1" applyFill="1" applyBorder="1"/>
    <xf numFmtId="165" fontId="12" fillId="0" borderId="1" xfId="2" applyNumberFormat="1" applyFont="1" applyFill="1" applyBorder="1"/>
    <xf numFmtId="3" fontId="7" fillId="0" borderId="1" xfId="4" applyNumberFormat="1" applyFont="1" applyFill="1" applyBorder="1"/>
    <xf numFmtId="3" fontId="7" fillId="5" borderId="1" xfId="4" applyNumberFormat="1" applyFont="1" applyFill="1" applyBorder="1"/>
    <xf numFmtId="4" fontId="7" fillId="5" borderId="1" xfId="4" applyNumberFormat="1" applyFont="1" applyFill="1" applyBorder="1"/>
    <xf numFmtId="164" fontId="12" fillId="0" borderId="1" xfId="2" applyNumberFormat="1" applyFont="1" applyFill="1" applyBorder="1"/>
    <xf numFmtId="164" fontId="12" fillId="0" borderId="0" xfId="2" applyNumberFormat="1" applyFont="1" applyFill="1" applyBorder="1"/>
    <xf numFmtId="164" fontId="8" fillId="0" borderId="0" xfId="2" applyNumberFormat="1" applyFont="1" applyFill="1" applyBorder="1"/>
    <xf numFmtId="3" fontId="8" fillId="0" borderId="1" xfId="2" applyNumberFormat="1" applyFont="1" applyFill="1" applyBorder="1"/>
    <xf numFmtId="165" fontId="4" fillId="0" borderId="1" xfId="1" applyNumberFormat="1" applyFont="1" applyFill="1" applyBorder="1"/>
    <xf numFmtId="165" fontId="5" fillId="0" borderId="1" xfId="2" applyNumberFormat="1" applyFont="1" applyFill="1" applyBorder="1"/>
    <xf numFmtId="165" fontId="5" fillId="0" borderId="1" xfId="1" applyNumberFormat="1" applyFont="1" applyFill="1" applyBorder="1"/>
    <xf numFmtId="164" fontId="5" fillId="0" borderId="1" xfId="2" applyNumberFormat="1" applyFont="1" applyFill="1" applyBorder="1"/>
    <xf numFmtId="164" fontId="3" fillId="0" borderId="1" xfId="4" applyNumberFormat="1" applyBorder="1"/>
    <xf numFmtId="164" fontId="3" fillId="3" borderId="1" xfId="4" applyNumberFormat="1" applyFill="1" applyBorder="1"/>
    <xf numFmtId="164" fontId="5" fillId="0" borderId="1" xfId="1" applyNumberFormat="1" applyFont="1" applyFill="1" applyBorder="1"/>
    <xf numFmtId="3" fontId="5" fillId="0" borderId="1" xfId="0" applyNumberFormat="1" applyFont="1" applyBorder="1"/>
    <xf numFmtId="0" fontId="13" fillId="0" borderId="0" xfId="4" applyFont="1"/>
    <xf numFmtId="164" fontId="3" fillId="0" borderId="0" xfId="4" applyNumberFormat="1"/>
    <xf numFmtId="0" fontId="7" fillId="0" borderId="2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</cellXfs>
  <cellStyles count="6">
    <cellStyle name="Normal_Regional Data for IGR" xfId="1"/>
    <cellStyle name="Обычный" xfId="0" builtinId="0"/>
    <cellStyle name="Обычный_Местные бюджеты 2006 - расчет МБТ(2 чтение)" xfId="2"/>
    <cellStyle name="Обычный_налоговый потенциал_2009_2011" xfId="3"/>
    <cellStyle name="Обычный_Поселения2" xfId="4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c/P/&#1053;&#1072;&#1083;&#1086;&#1075;&#1086;&#1074;&#1099;&#1081;%20&#1087;&#1086;&#1090;&#1077;&#1085;&#1094;&#1080;&#1072;&#1083;%202005/sv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 xml:space="preserve"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0"/>
      <sheetData sheetId="1">
        <row r="3">
          <cell r="C3" t="str">
            <v>Числен-ность постоян-ного населения, чел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S30" sqref="S30"/>
    </sheetView>
  </sheetViews>
  <sheetFormatPr defaultColWidth="8" defaultRowHeight="11.25"/>
  <cols>
    <col min="1" max="1" width="3.28515625" style="1" customWidth="1"/>
    <col min="2" max="2" width="22.140625" style="1" customWidth="1"/>
    <col min="3" max="5" width="8.7109375" style="19" customWidth="1"/>
    <col min="6" max="7" width="9" style="19" customWidth="1"/>
    <col min="8" max="10" width="8.7109375" style="19" hidden="1" customWidth="1"/>
    <col min="11" max="14" width="8.7109375" style="19" customWidth="1"/>
    <col min="15" max="15" width="9.85546875" style="19" customWidth="1"/>
    <col min="16" max="17" width="8.7109375" style="19" customWidth="1"/>
    <col min="18" max="18" width="9.5703125" style="19" customWidth="1"/>
    <col min="19" max="19" width="10" style="19" customWidth="1"/>
    <col min="20" max="25" width="8.7109375" style="19" customWidth="1"/>
    <col min="26" max="16384" width="8" style="1"/>
  </cols>
  <sheetData>
    <row r="1" spans="1:25" ht="27" customHeight="1"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Y2" s="1" t="s">
        <v>20</v>
      </c>
    </row>
    <row r="3" spans="1:25" ht="30.75" customHeight="1">
      <c r="A3" s="50" t="s">
        <v>1</v>
      </c>
      <c r="B3" s="50" t="s">
        <v>2</v>
      </c>
      <c r="C3" s="52" t="str">
        <f>[2]МР_П!C3</f>
        <v>Числен-ность постоян-ного населения, чел</v>
      </c>
      <c r="D3" s="20" t="s">
        <v>21</v>
      </c>
      <c r="E3" s="52" t="s">
        <v>22</v>
      </c>
      <c r="F3" s="49" t="s">
        <v>23</v>
      </c>
      <c r="G3" s="49"/>
      <c r="H3" s="21"/>
      <c r="I3" s="21"/>
      <c r="J3" s="21"/>
      <c r="K3" s="49" t="s">
        <v>24</v>
      </c>
      <c r="L3" s="49"/>
      <c r="M3" s="49"/>
      <c r="N3" s="49"/>
      <c r="O3" s="55" t="s">
        <v>25</v>
      </c>
      <c r="P3" s="56"/>
      <c r="Q3" s="56"/>
      <c r="R3" s="56"/>
      <c r="S3" s="57"/>
      <c r="T3" s="55" t="s">
        <v>26</v>
      </c>
      <c r="U3" s="56"/>
      <c r="V3" s="56"/>
      <c r="W3" s="56"/>
      <c r="X3" s="57"/>
      <c r="Y3" s="47" t="s">
        <v>13</v>
      </c>
    </row>
    <row r="4" spans="1:25" ht="56.25">
      <c r="A4" s="51"/>
      <c r="B4" s="51"/>
      <c r="C4" s="53"/>
      <c r="D4" s="20" t="s">
        <v>27</v>
      </c>
      <c r="E4" s="53"/>
      <c r="F4" s="20" t="s">
        <v>28</v>
      </c>
      <c r="G4" s="20" t="s">
        <v>29</v>
      </c>
      <c r="H4" s="22" t="s">
        <v>30</v>
      </c>
      <c r="I4" s="22" t="s">
        <v>31</v>
      </c>
      <c r="J4" s="22"/>
      <c r="K4" s="20" t="s">
        <v>32</v>
      </c>
      <c r="L4" s="20" t="s">
        <v>33</v>
      </c>
      <c r="M4" s="20" t="s">
        <v>34</v>
      </c>
      <c r="N4" s="20" t="s">
        <v>35</v>
      </c>
      <c r="O4" s="15" t="s">
        <v>36</v>
      </c>
      <c r="P4" s="15" t="s">
        <v>37</v>
      </c>
      <c r="Q4" s="15" t="s">
        <v>38</v>
      </c>
      <c r="R4" s="15" t="s">
        <v>39</v>
      </c>
      <c r="S4" s="15" t="s">
        <v>40</v>
      </c>
      <c r="T4" s="15" t="s">
        <v>36</v>
      </c>
      <c r="U4" s="15" t="s">
        <v>37</v>
      </c>
      <c r="V4" s="15" t="s">
        <v>38</v>
      </c>
      <c r="W4" s="15" t="s">
        <v>39</v>
      </c>
      <c r="X4" s="15" t="s">
        <v>40</v>
      </c>
      <c r="Y4" s="48"/>
    </row>
    <row r="5" spans="1:25" s="5" customFormat="1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0.42570000000000002</v>
      </c>
      <c r="U5" s="24">
        <v>0.2195</v>
      </c>
      <c r="V5" s="24">
        <v>0</v>
      </c>
      <c r="W5" s="24">
        <v>3.4700000000000002E-2</v>
      </c>
      <c r="X5" s="24">
        <v>0.3201</v>
      </c>
      <c r="Y5" s="4"/>
    </row>
    <row r="6" spans="1:25">
      <c r="A6" s="6">
        <v>3</v>
      </c>
      <c r="B6" s="7" t="s">
        <v>50</v>
      </c>
      <c r="C6" s="8">
        <v>667</v>
      </c>
      <c r="D6" s="8"/>
      <c r="E6" s="8">
        <v>327</v>
      </c>
      <c r="F6" s="25">
        <v>1</v>
      </c>
      <c r="G6" s="25">
        <v>1</v>
      </c>
      <c r="H6" s="26">
        <v>16300</v>
      </c>
      <c r="I6" s="26">
        <f t="shared" ref="I6:I9" si="0">F6*H6</f>
        <v>16300</v>
      </c>
      <c r="J6" s="27">
        <f>ИБР!G6*ИБР!H6/ИБР!$H$10</f>
        <v>0.28586711563587897</v>
      </c>
      <c r="K6" s="28">
        <f>IF(C6&lt;&gt;0,0.6+0.4*($C$10/COUNT($A$6:$A$9))/C6,0)</f>
        <v>2.2251874062968517</v>
      </c>
      <c r="L6" s="28">
        <f t="shared" ref="L6:L9" si="1">IF(C6&lt;&gt;0,1+E6/C6,0)</f>
        <v>1.4902548725637181</v>
      </c>
      <c r="M6" s="28">
        <f t="shared" ref="M6:M9" si="2">IF(C6&lt;&gt;0,1+D6/C6,0)</f>
        <v>1</v>
      </c>
      <c r="N6" s="28">
        <f>IF($G$10&lt;&gt;0,0.9+0.1*(0.8*F6/$F$10+0.2*G6/$G$10),0)</f>
        <v>1</v>
      </c>
      <c r="O6" s="17">
        <f t="shared" ref="O6:O10" si="3">C6*K6</f>
        <v>1484.2</v>
      </c>
      <c r="P6" s="17">
        <f t="shared" ref="P6:P10" si="4">C6*L6*M6</f>
        <v>994</v>
      </c>
      <c r="Q6" s="17">
        <f t="shared" ref="Q6:Q10" si="5">C6*M6</f>
        <v>667</v>
      </c>
      <c r="R6" s="17">
        <f t="shared" ref="R6:R10" si="6">C6*K6*N6</f>
        <v>1484.2</v>
      </c>
      <c r="S6" s="17">
        <f t="shared" ref="S6:S10" si="7">C6*L6*M6</f>
        <v>994</v>
      </c>
      <c r="T6" s="28">
        <f>IF(C6&lt;&gt;0,(O6/$C6)/(O$10/$C$10),0)</f>
        <v>2.2251874062968517</v>
      </c>
      <c r="U6" s="28">
        <f>IF(C6&lt;&gt;0,(P6/$C6)/(P$10/$C$10),0)</f>
        <v>0.70335829195542066</v>
      </c>
      <c r="V6" s="28">
        <f>IF(C6&lt;&gt;0,(Q6/$C6)/(Q$10/$C$10),0)</f>
        <v>0.65740796894899634</v>
      </c>
      <c r="W6" s="28">
        <f>IF(C6&lt;&gt;0,(R6/$C6)/(R$10/$C$10),0)</f>
        <v>2.2251874062968517</v>
      </c>
      <c r="X6" s="28">
        <f>IF(C6&lt;&gt;0,(S6/$C6)/(S$10/$C$10),0)</f>
        <v>0.70335829195542066</v>
      </c>
      <c r="Y6" s="29">
        <f t="shared" ref="Y6:Y10" si="8">IF(SUM($T$5:$X$5)=1,T6*$T$5+U6*$U$5+V6*$V$5+W6*$W$5+X6*$X$5,0)</f>
        <v>1.4040084161982156</v>
      </c>
    </row>
    <row r="7" spans="1:25">
      <c r="A7" s="6">
        <v>4</v>
      </c>
      <c r="B7" s="7" t="s">
        <v>51</v>
      </c>
      <c r="C7" s="8">
        <v>2753</v>
      </c>
      <c r="D7" s="8"/>
      <c r="E7" s="8">
        <v>2293</v>
      </c>
      <c r="F7" s="25">
        <v>1</v>
      </c>
      <c r="G7" s="25">
        <v>1</v>
      </c>
      <c r="H7" s="26">
        <v>14080.7</v>
      </c>
      <c r="I7" s="26">
        <f t="shared" si="0"/>
        <v>14080.7</v>
      </c>
      <c r="J7" s="27">
        <f>ИБР!G7*ИБР!H7/ИБР!$H$10</f>
        <v>0.24694534325976203</v>
      </c>
      <c r="K7" s="28">
        <f>IF(C7&lt;&gt;0,0.6+0.4*($C$10/COUNT($A$6:$A$9))/C7,0)</f>
        <v>0.99375227025063562</v>
      </c>
      <c r="L7" s="28">
        <f t="shared" si="1"/>
        <v>1.8329095532146749</v>
      </c>
      <c r="M7" s="28">
        <f t="shared" si="2"/>
        <v>1</v>
      </c>
      <c r="N7" s="28">
        <f>IF($G$10&lt;&gt;0,0.9+0.1*(0.8*F7/$F$10+0.2*G7/$G$10),0)</f>
        <v>1</v>
      </c>
      <c r="O7" s="17">
        <f t="shared" si="3"/>
        <v>2735.7999999999997</v>
      </c>
      <c r="P7" s="17">
        <f t="shared" si="4"/>
        <v>5046</v>
      </c>
      <c r="Q7" s="17">
        <f t="shared" si="5"/>
        <v>2753</v>
      </c>
      <c r="R7" s="17">
        <f t="shared" si="6"/>
        <v>2735.7999999999997</v>
      </c>
      <c r="S7" s="17">
        <f t="shared" si="7"/>
        <v>5046</v>
      </c>
      <c r="T7" s="28">
        <f>IF(C7&lt;&gt;0,(O7/$C7)/(O$10/$C$10),0)</f>
        <v>0.99375227025063562</v>
      </c>
      <c r="U7" s="28">
        <f>IF(C7&lt;&gt;0,(P7/$C7)/(P$10/$C$10),0)</f>
        <v>0.86508164233680473</v>
      </c>
      <c r="V7" s="28">
        <f>IF(C7&lt;&gt;0,(Q7/$C7)/(Q$10/$C$10),0)</f>
        <v>0.65740796894899634</v>
      </c>
      <c r="W7" s="28">
        <f>IF(C7&lt;&gt;0,(R7/$C7)/(R$10/$C$10),0)</f>
        <v>0.99375227025063562</v>
      </c>
      <c r="X7" s="28">
        <f>IF(C7&lt;&gt;0,(S7/$C7)/(S$10/$C$10),0)</f>
        <v>0.86508164233680473</v>
      </c>
      <c r="Y7" s="29">
        <f t="shared" si="8"/>
        <v>0.92432159942833247</v>
      </c>
    </row>
    <row r="8" spans="1:25">
      <c r="A8" s="6">
        <v>5</v>
      </c>
      <c r="B8" s="7" t="s">
        <v>52</v>
      </c>
      <c r="C8" s="8">
        <v>1771</v>
      </c>
      <c r="D8" s="8"/>
      <c r="E8" s="8">
        <v>1629</v>
      </c>
      <c r="F8" s="25">
        <v>1</v>
      </c>
      <c r="G8" s="25">
        <v>1</v>
      </c>
      <c r="H8" s="26">
        <v>20636.3</v>
      </c>
      <c r="I8" s="26">
        <f t="shared" si="0"/>
        <v>20636.3</v>
      </c>
      <c r="J8" s="27">
        <f>ИБР!G8*ИБР!H8/ИБР!$H$10</f>
        <v>0.36191653732495022</v>
      </c>
      <c r="K8" s="28">
        <f>IF(C8&lt;&gt;0,0.6+0.4*($C$10/COUNT($A$6:$A$9))/C8,0)</f>
        <v>1.2120835686053077</v>
      </c>
      <c r="L8" s="28">
        <f t="shared" si="1"/>
        <v>1.919819311123659</v>
      </c>
      <c r="M8" s="28">
        <f t="shared" si="2"/>
        <v>1</v>
      </c>
      <c r="N8" s="28">
        <f>IF($G$10&lt;&gt;0,0.9+0.1*(0.8*F8/$F$10+0.2*G8/$G$10),0)</f>
        <v>1</v>
      </c>
      <c r="O8" s="17">
        <f t="shared" si="3"/>
        <v>2146.6</v>
      </c>
      <c r="P8" s="17">
        <f t="shared" si="4"/>
        <v>3400</v>
      </c>
      <c r="Q8" s="17">
        <f t="shared" si="5"/>
        <v>1771</v>
      </c>
      <c r="R8" s="17">
        <f t="shared" si="6"/>
        <v>2146.6</v>
      </c>
      <c r="S8" s="17">
        <f t="shared" si="7"/>
        <v>3400</v>
      </c>
      <c r="T8" s="28">
        <f>IF(C8&lt;&gt;0,(O8/$C8)/(O$10/$C$10),0)</f>
        <v>1.2120835686053077</v>
      </c>
      <c r="U8" s="28">
        <f>IF(C8&lt;&gt;0,(P8/$C8)/(P$10/$C$10),0)</f>
        <v>0.90610059822316347</v>
      </c>
      <c r="V8" s="28">
        <f>IF(C8&lt;&gt;0,(Q8/$C8)/(Q$10/$C$10),0)</f>
        <v>0.65740796894899634</v>
      </c>
      <c r="W8" s="28">
        <f>IF(C8&lt;&gt;0,(R8/$C8)/(R$10/$C$10),0)</f>
        <v>1.2120835686053077</v>
      </c>
      <c r="X8" s="28">
        <f>IF(C8&lt;&gt;0,(S8/$C8)/(S$10/$C$10),0)</f>
        <v>0.90610059822316347</v>
      </c>
      <c r="Y8" s="29">
        <f t="shared" si="8"/>
        <v>1.0469751577871027</v>
      </c>
    </row>
    <row r="9" spans="1:25">
      <c r="A9" s="6">
        <v>7</v>
      </c>
      <c r="B9" s="7" t="s">
        <v>53</v>
      </c>
      <c r="C9" s="8">
        <v>5649</v>
      </c>
      <c r="D9" s="8">
        <v>5649</v>
      </c>
      <c r="E9" s="8">
        <v>10</v>
      </c>
      <c r="F9" s="25">
        <v>1</v>
      </c>
      <c r="G9" s="25">
        <v>1</v>
      </c>
      <c r="H9" s="26">
        <v>6002.5</v>
      </c>
      <c r="I9" s="26">
        <f t="shared" si="0"/>
        <v>6002.5</v>
      </c>
      <c r="J9" s="27">
        <f>ИБР!G9*ИБР!H9/ИБР!$H$10</f>
        <v>0.1052710037794088</v>
      </c>
      <c r="K9" s="28">
        <f>IF(C9&lt;&gt;0,0.6+0.4*($C$10/COUNT($A$6:$A$9))/C9,0)</f>
        <v>0.79189237033103199</v>
      </c>
      <c r="L9" s="28">
        <f t="shared" si="1"/>
        <v>1.001770224818552</v>
      </c>
      <c r="M9" s="28">
        <f t="shared" si="2"/>
        <v>2</v>
      </c>
      <c r="N9" s="28">
        <f>IF($G$10&lt;&gt;0,0.9+0.1*(0.8*F9/$F$10+0.2*G9/$G$10),0)</f>
        <v>1</v>
      </c>
      <c r="O9" s="17">
        <f t="shared" si="3"/>
        <v>4473.3999999999996</v>
      </c>
      <c r="P9" s="17">
        <f t="shared" si="4"/>
        <v>11318.000000000002</v>
      </c>
      <c r="Q9" s="17">
        <f t="shared" si="5"/>
        <v>11298</v>
      </c>
      <c r="R9" s="17">
        <f t="shared" si="6"/>
        <v>4473.3999999999996</v>
      </c>
      <c r="S9" s="17">
        <f t="shared" si="7"/>
        <v>11318.000000000002</v>
      </c>
      <c r="T9" s="28">
        <f>IF(C9&lt;&gt;0,(O9/$C9)/(O$10/$C$10),0)</f>
        <v>0.79189237033103199</v>
      </c>
      <c r="U9" s="28">
        <f>IF(C9&lt;&gt;0,(P9/$C9)/(P$10/$C$10),0)</f>
        <v>0.9456146156368942</v>
      </c>
      <c r="V9" s="28">
        <f>IF(C9&lt;&gt;0,(Q9/$C9)/(Q$10/$C$10),0)</f>
        <v>1.3148159378979927</v>
      </c>
      <c r="W9" s="28">
        <f>IF(C9&lt;&gt;0,(R9/$C9)/(R$10/$C$10),0)</f>
        <v>0.79189237033103199</v>
      </c>
      <c r="X9" s="28">
        <f>IF(C9&lt;&gt;0,(S9/$C9)/(S$10/$C$10),0)</f>
        <v>0.9456146156368942</v>
      </c>
      <c r="Y9" s="29">
        <f t="shared" si="8"/>
        <v>0.87484089389807529</v>
      </c>
    </row>
    <row r="10" spans="1:25" ht="12.75">
      <c r="A10" s="12"/>
      <c r="B10" s="13" t="s">
        <v>11</v>
      </c>
      <c r="C10" s="30">
        <f>SUM(C6:C9)</f>
        <v>10840</v>
      </c>
      <c r="D10" s="30">
        <f>SUM(D6:D9)</f>
        <v>5649</v>
      </c>
      <c r="E10" s="30">
        <f>SUM(E6:E9)</f>
        <v>4259</v>
      </c>
      <c r="F10" s="25">
        <v>1</v>
      </c>
      <c r="G10" s="25">
        <v>1</v>
      </c>
      <c r="H10" s="31">
        <f>SUM(H6:H9)</f>
        <v>57019.5</v>
      </c>
      <c r="I10" s="31">
        <f>SUM(I6:I9)</f>
        <v>57019.5</v>
      </c>
      <c r="J10" s="32">
        <f>SUM(J6:J9)</f>
        <v>1</v>
      </c>
      <c r="K10" s="29">
        <f>IF(C10&lt;&gt;0,0.6+0.4*($C$10/COUNT($A$6:$A$9))/(C10/COUNT($A$6:$A$9)),0)</f>
        <v>1</v>
      </c>
      <c r="L10" s="29">
        <f>IF(C10&lt;&gt;0,1+E10/C10,0)</f>
        <v>1.3928966789667896</v>
      </c>
      <c r="M10" s="29">
        <f>IF(C10&lt;&gt;0,1+D10/C10,0)</f>
        <v>1.5211254612546126</v>
      </c>
      <c r="N10" s="29">
        <f>IF($G$10&lt;&gt;0,0.9+0.1*(0.8*F10/$F$10+0.2*G10/$G$10),0)</f>
        <v>1</v>
      </c>
      <c r="O10" s="33">
        <f t="shared" si="3"/>
        <v>10840</v>
      </c>
      <c r="P10" s="33">
        <f t="shared" si="4"/>
        <v>22967.473339483397</v>
      </c>
      <c r="Q10" s="33">
        <f t="shared" si="5"/>
        <v>16489</v>
      </c>
      <c r="R10" s="33">
        <f t="shared" si="6"/>
        <v>10840</v>
      </c>
      <c r="S10" s="33">
        <f t="shared" si="7"/>
        <v>22967.473339483397</v>
      </c>
      <c r="T10" s="29">
        <f>IF(C10&lt;&gt;0,(O10/$C10)/(O$10/$C$10),0)</f>
        <v>1</v>
      </c>
      <c r="U10" s="29">
        <f>IF(C10&lt;&gt;0,(P10/$C10)/(P$10/$C$10),0)</f>
        <v>1</v>
      </c>
      <c r="V10" s="29">
        <f>IF(C10&lt;&gt;0,(Q10/$C10)/(Q$10/$C$10),0)</f>
        <v>1</v>
      </c>
      <c r="W10" s="29">
        <f>IF(C10&lt;&gt;0,(R10/$C10)/(R$10/$C$10),0)</f>
        <v>1</v>
      </c>
      <c r="X10" s="29">
        <f>IF(C10&lt;&gt;0,(S10/$C10)/(S$10/$C$10),0)</f>
        <v>1</v>
      </c>
      <c r="Y10" s="29">
        <f t="shared" si="8"/>
        <v>1</v>
      </c>
    </row>
    <row r="11" spans="1: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</sheetData>
  <mergeCells count="10">
    <mergeCell ref="B1:N1"/>
    <mergeCell ref="F3:G3"/>
    <mergeCell ref="E3:E4"/>
    <mergeCell ref="O3:S3"/>
    <mergeCell ref="T3:X3"/>
    <mergeCell ref="Y3:Y4"/>
    <mergeCell ref="K3:N3"/>
    <mergeCell ref="A3:A4"/>
    <mergeCell ref="C3:C4"/>
    <mergeCell ref="B3:B4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85" orientation="landscape" r:id="rId1"/>
  <headerFooter alignWithMargins="0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O10" sqref="O10"/>
    </sheetView>
  </sheetViews>
  <sheetFormatPr defaultColWidth="8" defaultRowHeight="11.25"/>
  <cols>
    <col min="1" max="1" width="3.28515625" style="1" customWidth="1"/>
    <col min="2" max="2" width="22.140625" style="1" customWidth="1"/>
    <col min="3" max="3" width="10.85546875" style="1" customWidth="1"/>
    <col min="4" max="20" width="12" style="1" customWidth="1"/>
    <col min="21" max="16384" width="8" style="1"/>
  </cols>
  <sheetData>
    <row r="1" spans="1:20" ht="27" customHeight="1">
      <c r="C1" s="54" t="s">
        <v>0</v>
      </c>
      <c r="D1" s="54"/>
      <c r="E1" s="54"/>
      <c r="F1" s="54"/>
      <c r="G1" s="5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0.75" customHeight="1">
      <c r="A3" s="58" t="s">
        <v>1</v>
      </c>
      <c r="B3" s="58" t="s">
        <v>2</v>
      </c>
      <c r="C3" s="60" t="s">
        <v>3</v>
      </c>
      <c r="D3" s="58" t="s">
        <v>4</v>
      </c>
      <c r="E3" s="58"/>
      <c r="F3" s="58"/>
      <c r="G3" s="58"/>
      <c r="H3" s="58" t="s">
        <v>5</v>
      </c>
      <c r="I3" s="58"/>
      <c r="J3" s="58"/>
      <c r="K3" s="58"/>
      <c r="L3" s="58" t="s">
        <v>6</v>
      </c>
      <c r="M3" s="58"/>
      <c r="N3" s="58"/>
      <c r="O3" s="58"/>
      <c r="P3" s="59" t="s">
        <v>7</v>
      </c>
      <c r="Q3" s="59" t="s">
        <v>46</v>
      </c>
      <c r="R3" s="59" t="s">
        <v>47</v>
      </c>
      <c r="S3" s="59" t="s">
        <v>48</v>
      </c>
      <c r="T3" s="59" t="s">
        <v>49</v>
      </c>
    </row>
    <row r="4" spans="1:20" ht="90" customHeight="1">
      <c r="A4" s="58"/>
      <c r="B4" s="58"/>
      <c r="C4" s="60"/>
      <c r="D4" s="3" t="s">
        <v>8</v>
      </c>
      <c r="E4" s="3" t="s">
        <v>56</v>
      </c>
      <c r="F4" s="3" t="s">
        <v>9</v>
      </c>
      <c r="G4" s="3" t="str">
        <f>"Налоговый потенциал по репрезента-тивной налоговой ставке  "&amp;FIXED(F10,6)&amp;", контингент"</f>
        <v>Налоговый потенциал по репрезента-тивной налоговой ставке  0,191821, контингент</v>
      </c>
      <c r="H4" s="3" t="s">
        <v>12</v>
      </c>
      <c r="I4" s="3" t="s">
        <v>57</v>
      </c>
      <c r="J4" s="3" t="s">
        <v>9</v>
      </c>
      <c r="K4" s="3" t="str">
        <f>"Налоговый потенциал по репрезента-тивной налоговой ставке  "&amp;FIXED(J10,6)&amp;",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3" t="s">
        <v>58</v>
      </c>
      <c r="N4" s="3" t="s">
        <v>9</v>
      </c>
      <c r="O4" s="3" t="str">
        <f>"Налоговый потенциал по репрезента-тивной налоговой ставке  "&amp;FIXED(N10,6)&amp;", контингент"</f>
        <v>Налоговый потенциал по репрезента-тивной налоговой ставке  0,060000, контингент</v>
      </c>
      <c r="P4" s="59"/>
      <c r="Q4" s="59"/>
      <c r="R4" s="59"/>
      <c r="S4" s="59"/>
      <c r="T4" s="59"/>
    </row>
    <row r="5" spans="1:20" s="5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6">
        <v>3</v>
      </c>
      <c r="B6" s="7" t="s">
        <v>50</v>
      </c>
      <c r="C6" s="36">
        <v>667</v>
      </c>
      <c r="D6" s="9">
        <v>8904</v>
      </c>
      <c r="E6" s="9">
        <v>1707.9</v>
      </c>
      <c r="F6" s="10" t="s">
        <v>10</v>
      </c>
      <c r="G6" s="11">
        <f>D6*$F$10*0.03</f>
        <v>51.239337559626918</v>
      </c>
      <c r="H6" s="9">
        <v>457533.3</v>
      </c>
      <c r="I6" s="9">
        <v>1372.6</v>
      </c>
      <c r="J6" s="10" t="s">
        <v>10</v>
      </c>
      <c r="K6" s="11">
        <f>H6*$J$10</f>
        <v>1372.5998999999999</v>
      </c>
      <c r="L6" s="9">
        <v>1205.7</v>
      </c>
      <c r="M6" s="9">
        <v>72.3</v>
      </c>
      <c r="N6" s="10" t="s">
        <v>10</v>
      </c>
      <c r="O6" s="11">
        <f>L6*$N$10*0.4</f>
        <v>28.936850487395077</v>
      </c>
      <c r="P6" s="11">
        <f t="shared" ref="P6:P10" si="0">O6+K6+G6</f>
        <v>1452.7760880470219</v>
      </c>
      <c r="Q6" s="9">
        <v>33.4</v>
      </c>
      <c r="R6" s="11">
        <f t="shared" ref="R6:R9" si="1">P6+Q6</f>
        <v>1486.1760880470219</v>
      </c>
      <c r="S6" s="11">
        <f t="shared" ref="S6:S10" si="2">IF(C6&lt;&gt;0,R6/C6,0)</f>
        <v>2.2281500570420119</v>
      </c>
      <c r="T6" s="37">
        <f>IF($S$10&lt;&gt;0,S6/$S$10,0)</f>
        <v>1.1135144245619379</v>
      </c>
    </row>
    <row r="7" spans="1:20">
      <c r="A7" s="6">
        <v>4</v>
      </c>
      <c r="B7" s="7" t="s">
        <v>51</v>
      </c>
      <c r="C7" s="36">
        <v>2753</v>
      </c>
      <c r="D7" s="9">
        <v>63525</v>
      </c>
      <c r="E7" s="9">
        <v>12186.3</v>
      </c>
      <c r="F7" s="10" t="s">
        <v>10</v>
      </c>
      <c r="G7" s="11">
        <f>D7*$F$10*0.03</f>
        <v>365.56367008931943</v>
      </c>
      <c r="H7" s="9">
        <v>1358300</v>
      </c>
      <c r="I7" s="9">
        <v>4074.9</v>
      </c>
      <c r="J7" s="10" t="s">
        <v>10</v>
      </c>
      <c r="K7" s="11">
        <f>H7*$J$10</f>
        <v>4074.9</v>
      </c>
      <c r="L7" s="9">
        <v>58781.2</v>
      </c>
      <c r="M7" s="9">
        <v>3527</v>
      </c>
      <c r="N7" s="10" t="s">
        <v>10</v>
      </c>
      <c r="O7" s="11">
        <f>L7*$N$10*0.4</f>
        <v>1410.7512613997408</v>
      </c>
      <c r="P7" s="11">
        <f t="shared" si="0"/>
        <v>5851.2149314890603</v>
      </c>
      <c r="Q7" s="9">
        <v>136.9</v>
      </c>
      <c r="R7" s="11">
        <f t="shared" si="1"/>
        <v>5988.1149314890599</v>
      </c>
      <c r="S7" s="11">
        <f t="shared" si="2"/>
        <v>2.1751234767486598</v>
      </c>
      <c r="T7" s="37">
        <f>IF($S$10&lt;&gt;0,S7/$S$10,0)</f>
        <v>1.0870144759362939</v>
      </c>
    </row>
    <row r="8" spans="1:20">
      <c r="A8" s="6">
        <v>5</v>
      </c>
      <c r="B8" s="7" t="s">
        <v>52</v>
      </c>
      <c r="C8" s="36">
        <v>1771</v>
      </c>
      <c r="D8" s="9">
        <v>24771.1</v>
      </c>
      <c r="E8" s="9">
        <v>4750.7</v>
      </c>
      <c r="F8" s="10" t="s">
        <v>10</v>
      </c>
      <c r="G8" s="11">
        <f>D8*$F$10*0.03</f>
        <v>142.54882688940637</v>
      </c>
      <c r="H8" s="9">
        <v>1073266.7</v>
      </c>
      <c r="I8" s="9">
        <v>3219.8</v>
      </c>
      <c r="J8" s="10" t="s">
        <v>10</v>
      </c>
      <c r="K8" s="11">
        <f>H8*$J$10</f>
        <v>3219.8000999999999</v>
      </c>
      <c r="L8" s="9">
        <v>26393.8</v>
      </c>
      <c r="M8" s="9">
        <v>1583.6</v>
      </c>
      <c r="N8" s="10" t="s">
        <v>10</v>
      </c>
      <c r="O8" s="11">
        <f>L8*$N$10*0.4</f>
        <v>633.45230521208271</v>
      </c>
      <c r="P8" s="11">
        <f t="shared" si="0"/>
        <v>3995.8012321014889</v>
      </c>
      <c r="Q8" s="9">
        <v>87.9</v>
      </c>
      <c r="R8" s="11">
        <f t="shared" si="1"/>
        <v>4083.701232101489</v>
      </c>
      <c r="S8" s="11">
        <f t="shared" si="2"/>
        <v>2.3058730841905639</v>
      </c>
      <c r="T8" s="37">
        <f>IF($S$10&lt;&gt;0,S8/$S$10,0)</f>
        <v>1.1523563829735837</v>
      </c>
    </row>
    <row r="9" spans="1:20">
      <c r="A9" s="6">
        <v>7</v>
      </c>
      <c r="B9" s="7" t="s">
        <v>53</v>
      </c>
      <c r="C9" s="36">
        <v>5649</v>
      </c>
      <c r="D9" s="9">
        <v>280041.40000000002</v>
      </c>
      <c r="E9" s="9">
        <v>53718.1</v>
      </c>
      <c r="F9" s="10" t="s">
        <v>10</v>
      </c>
      <c r="G9" s="11">
        <f>D9*$F$10*0.1</f>
        <v>5371.7938848721578</v>
      </c>
      <c r="H9" s="9">
        <v>1210900</v>
      </c>
      <c r="I9" s="9">
        <v>3632.7</v>
      </c>
      <c r="J9" s="10" t="s">
        <v>10</v>
      </c>
      <c r="K9" s="11">
        <f>H9*$J$10</f>
        <v>3632.7000000000003</v>
      </c>
      <c r="L9" s="9">
        <v>28249.1</v>
      </c>
      <c r="M9" s="9">
        <v>1694.9</v>
      </c>
      <c r="N9" s="10" t="s">
        <v>10</v>
      </c>
      <c r="O9" s="11">
        <f>L9*$N$10*0.5</f>
        <v>847.47447862597676</v>
      </c>
      <c r="P9" s="11">
        <f t="shared" si="0"/>
        <v>9851.9683634981338</v>
      </c>
      <c r="Q9" s="9">
        <v>280.89999999999998</v>
      </c>
      <c r="R9" s="11">
        <f t="shared" si="1"/>
        <v>10132.868363498133</v>
      </c>
      <c r="S9" s="11">
        <f t="shared" si="2"/>
        <v>1.793745506018434</v>
      </c>
      <c r="T9" s="37">
        <f>IF($S$10&lt;&gt;0,S9/$S$10,0)</f>
        <v>0.89642144550905278</v>
      </c>
    </row>
    <row r="10" spans="1:20" ht="12.75">
      <c r="A10" s="12"/>
      <c r="B10" s="13" t="s">
        <v>11</v>
      </c>
      <c r="C10" s="13">
        <f>SUM(C6:C9)</f>
        <v>10840</v>
      </c>
      <c r="D10" s="14">
        <f>SUM(D6:D9)</f>
        <v>377241.5</v>
      </c>
      <c r="E10" s="14">
        <f>SUM(E6:E9)</f>
        <v>72363</v>
      </c>
      <c r="F10" s="13">
        <f>IF(D10&lt;&gt;0,E10/D10,0)</f>
        <v>0.1918214194355605</v>
      </c>
      <c r="G10" s="14">
        <v>5931.2</v>
      </c>
      <c r="H10" s="14">
        <f>SUM(H6:H9)</f>
        <v>4100000</v>
      </c>
      <c r="I10" s="14">
        <f>SUM(I6:I9)</f>
        <v>12300</v>
      </c>
      <c r="J10" s="13">
        <f>IF(H10&lt;&gt;0,I10/H10,0)</f>
        <v>3.0000000000000001E-3</v>
      </c>
      <c r="K10" s="14">
        <f>SUM(K6:K9)</f>
        <v>12300</v>
      </c>
      <c r="L10" s="14">
        <f>SUM(L6:L9)</f>
        <v>114629.79999999999</v>
      </c>
      <c r="M10" s="14">
        <f>SUM(M6:M9)</f>
        <v>6877.7999999999993</v>
      </c>
      <c r="N10" s="13">
        <f>IF(L10&lt;&gt;0,M10/L10,0)</f>
        <v>6.0000104684820178E-2</v>
      </c>
      <c r="O10" s="14">
        <f>SUM(O6:O9)</f>
        <v>2920.6148957251953</v>
      </c>
      <c r="P10" s="11">
        <f t="shared" si="0"/>
        <v>21151.814895725194</v>
      </c>
      <c r="Q10" s="14">
        <f>SUM(Q6:Q9)</f>
        <v>539.1</v>
      </c>
      <c r="R10" s="14">
        <f>Q10+P10</f>
        <v>21690.914895725193</v>
      </c>
      <c r="S10" s="43">
        <f t="shared" si="2"/>
        <v>2.0010069091997411</v>
      </c>
      <c r="T10" s="14">
        <f>IF($S$10&lt;&gt;0,S10/$S$10,0)</f>
        <v>1</v>
      </c>
    </row>
    <row r="11" spans="1:20">
      <c r="E11" s="45"/>
    </row>
  </sheetData>
  <mergeCells count="12">
    <mergeCell ref="P3:P4"/>
    <mergeCell ref="C3:C4"/>
    <mergeCell ref="S3:S4"/>
    <mergeCell ref="T3:T4"/>
    <mergeCell ref="L3:O3"/>
    <mergeCell ref="Q3:Q4"/>
    <mergeCell ref="R3:R4"/>
    <mergeCell ref="A3:A4"/>
    <mergeCell ref="B3:B4"/>
    <mergeCell ref="D3:G3"/>
    <mergeCell ref="H3:K3"/>
    <mergeCell ref="C1:G1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70" orientation="landscape" r:id="rId1"/>
  <headerFooter alignWithMargins="0"/>
  <colBreaks count="1" manualBreakCount="1">
    <brk id="1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defaultColWidth="8" defaultRowHeight="11.25"/>
  <cols>
    <col min="1" max="1" width="3.28515625" style="1" customWidth="1"/>
    <col min="2" max="2" width="22.140625" style="1" customWidth="1"/>
    <col min="3" max="8" width="10.85546875" style="1" customWidth="1"/>
    <col min="9" max="9" width="12.140625" style="1" customWidth="1"/>
    <col min="10" max="10" width="10.5703125" style="1" customWidth="1"/>
    <col min="11" max="11" width="10.140625" style="1" customWidth="1"/>
    <col min="12" max="12" width="10" style="1" customWidth="1"/>
    <col min="13" max="16384" width="8" style="1"/>
  </cols>
  <sheetData>
    <row r="1" spans="1:13" ht="27" customHeight="1">
      <c r="C1" s="54" t="s">
        <v>41</v>
      </c>
      <c r="D1" s="54"/>
      <c r="E1" s="54"/>
      <c r="F1" s="54"/>
      <c r="G1" s="54"/>
      <c r="H1" s="54"/>
    </row>
    <row r="3" spans="1:13" ht="30.75" customHeight="1">
      <c r="A3" s="58" t="s">
        <v>1</v>
      </c>
      <c r="B3" s="58" t="s">
        <v>2</v>
      </c>
      <c r="C3" s="60" t="s">
        <v>3</v>
      </c>
      <c r="D3" s="59" t="s">
        <v>49</v>
      </c>
      <c r="E3" s="47" t="s">
        <v>18</v>
      </c>
      <c r="F3" s="47" t="s">
        <v>14</v>
      </c>
      <c r="G3" s="47" t="s">
        <v>15</v>
      </c>
      <c r="H3" s="47" t="s">
        <v>17</v>
      </c>
      <c r="I3" s="49" t="s">
        <v>44</v>
      </c>
      <c r="J3" s="49" t="s">
        <v>42</v>
      </c>
      <c r="K3" s="47" t="s">
        <v>45</v>
      </c>
      <c r="L3" s="55" t="s">
        <v>43</v>
      </c>
      <c r="M3" s="49" t="s">
        <v>54</v>
      </c>
    </row>
    <row r="4" spans="1:13" ht="90" customHeight="1">
      <c r="A4" s="58"/>
      <c r="B4" s="58"/>
      <c r="C4" s="60"/>
      <c r="D4" s="59"/>
      <c r="E4" s="48"/>
      <c r="F4" s="48"/>
      <c r="G4" s="48"/>
      <c r="H4" s="48"/>
      <c r="I4" s="49"/>
      <c r="J4" s="49"/>
      <c r="K4" s="48"/>
      <c r="L4" s="55"/>
      <c r="M4" s="49"/>
    </row>
    <row r="5" spans="1:13" s="5" customFormat="1">
      <c r="A5" s="4"/>
      <c r="B5" s="4"/>
      <c r="C5" s="4"/>
      <c r="D5" s="4"/>
      <c r="E5" s="4"/>
      <c r="F5" s="4"/>
      <c r="G5" s="16">
        <v>0.78</v>
      </c>
      <c r="H5" s="16">
        <v>0</v>
      </c>
      <c r="I5" s="4"/>
      <c r="J5" s="4"/>
      <c r="K5" s="4"/>
      <c r="L5" s="4"/>
      <c r="M5" s="4"/>
    </row>
    <row r="6" spans="1:13">
      <c r="A6" s="6">
        <v>3</v>
      </c>
      <c r="B6" s="7" t="s">
        <v>50</v>
      </c>
      <c r="C6" s="36">
        <f>ИБР!C6</f>
        <v>667</v>
      </c>
      <c r="D6" s="28">
        <f>ИНП!T6</f>
        <v>1.1135144245619379</v>
      </c>
      <c r="E6" s="28">
        <f>ИБР!Y6</f>
        <v>1.4040084161982156</v>
      </c>
      <c r="F6" s="37">
        <f t="shared" ref="F6:F10" si="0">IF(E6&lt;&gt;0,D6/E6,0)</f>
        <v>0.79309668782265608</v>
      </c>
      <c r="G6" s="17">
        <f>IF(F6&lt;$G$5,($G$5-F6)*E6*$G$12*C6/$C$10,0)</f>
        <v>0</v>
      </c>
      <c r="H6" s="17">
        <f>IF($G$10&lt;&gt;0,ROUND(G6/$G$10*$H$5,1),0)</f>
        <v>0</v>
      </c>
      <c r="I6" s="16">
        <v>1736.7</v>
      </c>
      <c r="J6" s="41">
        <f t="shared" ref="J6:J9" si="1">I6+H6</f>
        <v>1736.7</v>
      </c>
      <c r="K6" s="42">
        <v>1671</v>
      </c>
      <c r="L6" s="41">
        <f t="shared" ref="L6:L9" si="2">J6-K6</f>
        <v>65.700000000000045</v>
      </c>
      <c r="M6" s="41">
        <v>0</v>
      </c>
    </row>
    <row r="7" spans="1:13">
      <c r="A7" s="6">
        <v>4</v>
      </c>
      <c r="B7" s="7" t="s">
        <v>51</v>
      </c>
      <c r="C7" s="36">
        <f>ИБР!C7</f>
        <v>2753</v>
      </c>
      <c r="D7" s="28">
        <f>ИНП!T7</f>
        <v>1.0870144759362939</v>
      </c>
      <c r="E7" s="28">
        <f>ИБР!Y7</f>
        <v>0.92432159942833247</v>
      </c>
      <c r="F7" s="37">
        <f t="shared" si="0"/>
        <v>1.1760132800191865</v>
      </c>
      <c r="G7" s="17">
        <f>IF(F7&lt;$G$5,($G$5-F7)*E7*$G$12*C7/$C$10,0)</f>
        <v>0</v>
      </c>
      <c r="H7" s="17">
        <f>IF($G$10&lt;&gt;0,ROUND(G7/$G$10*$H$5,1),0)</f>
        <v>0</v>
      </c>
      <c r="I7" s="16">
        <v>6226.2</v>
      </c>
      <c r="J7" s="41">
        <f t="shared" si="1"/>
        <v>6226.2</v>
      </c>
      <c r="K7" s="42">
        <v>5116.6000000000004</v>
      </c>
      <c r="L7" s="41">
        <f t="shared" si="2"/>
        <v>1109.5999999999995</v>
      </c>
      <c r="M7" s="41">
        <v>0</v>
      </c>
    </row>
    <row r="8" spans="1:13">
      <c r="A8" s="6">
        <v>5</v>
      </c>
      <c r="B8" s="7" t="s">
        <v>52</v>
      </c>
      <c r="C8" s="36">
        <f>ИБР!C8</f>
        <v>1771</v>
      </c>
      <c r="D8" s="28">
        <f>ИНП!T8</f>
        <v>1.1523563829735837</v>
      </c>
      <c r="E8" s="28">
        <f>ИБР!Y8</f>
        <v>1.0469751577871027</v>
      </c>
      <c r="F8" s="37">
        <f t="shared" si="0"/>
        <v>1.1006530330759861</v>
      </c>
      <c r="G8" s="17">
        <f>IF(F8&lt;$G$5,($G$5-F8)*E8*$G$12*C8/$C$10,0)</f>
        <v>0</v>
      </c>
      <c r="H8" s="17">
        <f>IF($G$10&lt;&gt;0,ROUND(G8/$G$10*$H$5,1),0)</f>
        <v>0</v>
      </c>
      <c r="I8" s="16">
        <v>4310.7</v>
      </c>
      <c r="J8" s="41">
        <f t="shared" si="1"/>
        <v>4310.7</v>
      </c>
      <c r="K8" s="42">
        <v>3889</v>
      </c>
      <c r="L8" s="41">
        <f t="shared" si="2"/>
        <v>421.69999999999982</v>
      </c>
      <c r="M8" s="41">
        <v>0</v>
      </c>
    </row>
    <row r="9" spans="1:13">
      <c r="A9" s="6">
        <v>7</v>
      </c>
      <c r="B9" s="7" t="s">
        <v>53</v>
      </c>
      <c r="C9" s="36">
        <f>ИБР!C9</f>
        <v>5649</v>
      </c>
      <c r="D9" s="28">
        <f>ИНП!T9</f>
        <v>0.89642144550905278</v>
      </c>
      <c r="E9" s="28">
        <f>ИБР!Y9</f>
        <v>0.87484089389807529</v>
      </c>
      <c r="F9" s="37">
        <f t="shared" si="0"/>
        <v>1.0246679730697315</v>
      </c>
      <c r="G9" s="17">
        <f>IF(F9&lt;$G$5,($G$5-F9)*E9*$G$12*C9/$C$10,0)</f>
        <v>0</v>
      </c>
      <c r="H9" s="17">
        <f>IF($G$10&lt;&gt;0,ROUND(G9/$G$10*$H$5,1),0)</f>
        <v>0</v>
      </c>
      <c r="I9" s="16">
        <v>11051.7</v>
      </c>
      <c r="J9" s="41">
        <f t="shared" si="1"/>
        <v>11051.7</v>
      </c>
      <c r="K9" s="42">
        <v>5860.2</v>
      </c>
      <c r="L9" s="41">
        <f t="shared" si="2"/>
        <v>5191.5000000000009</v>
      </c>
      <c r="M9" s="41">
        <v>0</v>
      </c>
    </row>
    <row r="10" spans="1:13" ht="12.75">
      <c r="A10" s="12"/>
      <c r="B10" s="13" t="s">
        <v>11</v>
      </c>
      <c r="C10" s="44">
        <f>SUM(C6:C9)</f>
        <v>10840</v>
      </c>
      <c r="D10" s="38">
        <f>ИНП!T10</f>
        <v>1</v>
      </c>
      <c r="E10" s="38">
        <f>ИБР!Y10</f>
        <v>1</v>
      </c>
      <c r="F10" s="39">
        <f t="shared" si="0"/>
        <v>1</v>
      </c>
      <c r="G10" s="40">
        <f>SUM(G6:G9)</f>
        <v>0</v>
      </c>
      <c r="H10" s="40">
        <f>IF($G$10&lt;&gt;0,ROUND(G10/$G$10*$H$5,1),0)</f>
        <v>0</v>
      </c>
      <c r="I10" s="40">
        <f>SUM(I6:I9)</f>
        <v>23325.3</v>
      </c>
      <c r="J10" s="40">
        <f>I10+H10</f>
        <v>23325.3</v>
      </c>
      <c r="K10" s="40">
        <f>SUM(K6:K9)</f>
        <v>16536.8</v>
      </c>
      <c r="L10" s="40">
        <f>J10-K10</f>
        <v>6788.5</v>
      </c>
      <c r="M10" s="40">
        <f>SUM(M6:M9)</f>
        <v>0</v>
      </c>
    </row>
    <row r="11" spans="1:13">
      <c r="M11" s="46" t="s">
        <v>55</v>
      </c>
    </row>
    <row r="12" spans="1:13">
      <c r="F12" s="18" t="s">
        <v>16</v>
      </c>
      <c r="G12" s="9">
        <v>22786.2</v>
      </c>
    </row>
  </sheetData>
  <mergeCells count="14">
    <mergeCell ref="C1:H1"/>
    <mergeCell ref="C3:C4"/>
    <mergeCell ref="G3:G4"/>
    <mergeCell ref="H3:H4"/>
    <mergeCell ref="F3:F4"/>
    <mergeCell ref="M3:M4"/>
    <mergeCell ref="A3:A4"/>
    <mergeCell ref="B3:B4"/>
    <mergeCell ref="D3:D4"/>
    <mergeCell ref="E3:E4"/>
    <mergeCell ref="I3:I4"/>
    <mergeCell ref="L3:L4"/>
    <mergeCell ref="K3:K4"/>
    <mergeCell ref="J3:J4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8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ИБР</vt:lpstr>
      <vt:lpstr>ИНП</vt:lpstr>
      <vt:lpstr>Дот</vt:lpstr>
      <vt:lpstr>Дот!Заголовки_для_печати</vt:lpstr>
      <vt:lpstr>ИБР!Заголовки_для_печати</vt:lpstr>
      <vt:lpstr>ИНП!Заголовки_для_печати</vt:lpstr>
      <vt:lpstr>ИБР!Область_печати</vt:lpstr>
      <vt:lpstr>ИНП!Область_печати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1</cp:lastModifiedBy>
  <cp:lastPrinted>2018-11-06T11:05:42Z</cp:lastPrinted>
  <dcterms:created xsi:type="dcterms:W3CDTF">2008-12-18T12:36:24Z</dcterms:created>
  <dcterms:modified xsi:type="dcterms:W3CDTF">2018-11-15T04:15:05Z</dcterms:modified>
</cp:coreProperties>
</file>